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 Shumway\Google Drive\BBF Files\"/>
    </mc:Choice>
  </mc:AlternateContent>
  <xr:revisionPtr revIDLastSave="0" documentId="13_ncr:1_{A7108B90-148E-46F4-9303-4B3DD84B362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Lease vs Buy Cost Analysis" sheetId="1" r:id="rId1"/>
    <sheet name="Mileage and Maint Cos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4" l="1"/>
  <c r="D10" i="4"/>
  <c r="C10" i="4"/>
  <c r="B10" i="4"/>
  <c r="F9" i="4"/>
  <c r="G9" i="4" s="1"/>
  <c r="F8" i="4"/>
  <c r="G8" i="4" s="1"/>
  <c r="F7" i="4"/>
  <c r="G7" i="4" s="1"/>
  <c r="F6" i="4"/>
  <c r="L11" i="1"/>
  <c r="L10" i="1"/>
  <c r="L9" i="1"/>
  <c r="L8" i="1"/>
  <c r="D13" i="1"/>
  <c r="B13" i="1"/>
  <c r="J11" i="1"/>
  <c r="F11" i="1"/>
  <c r="E11" i="1"/>
  <c r="J10" i="1"/>
  <c r="M10" i="1" s="1"/>
  <c r="F10" i="1"/>
  <c r="E10" i="1"/>
  <c r="J9" i="1"/>
  <c r="N9" i="1" s="1"/>
  <c r="F9" i="1"/>
  <c r="E9" i="1"/>
  <c r="J8" i="1"/>
  <c r="F8" i="1"/>
  <c r="E8" i="1"/>
  <c r="F10" i="4" l="1"/>
  <c r="G10" i="4" s="1"/>
  <c r="G6" i="4"/>
  <c r="M11" i="1"/>
  <c r="T11" i="1" s="1"/>
  <c r="N10" i="1"/>
  <c r="J13" i="1"/>
  <c r="G8" i="1"/>
  <c r="T10" i="1"/>
  <c r="F13" i="1"/>
  <c r="N11" i="1"/>
  <c r="S9" i="1"/>
  <c r="L13" i="1"/>
  <c r="M9" i="1"/>
  <c r="O9" i="1" s="1"/>
  <c r="E13" i="1"/>
  <c r="G11" i="1"/>
  <c r="M8" i="1"/>
  <c r="G10" i="1"/>
  <c r="N8" i="1"/>
  <c r="G9" i="1"/>
  <c r="O10" i="1" l="1"/>
  <c r="Q10" i="1" s="1"/>
  <c r="S10" i="1"/>
  <c r="S11" i="1"/>
  <c r="O11" i="1"/>
  <c r="Q11" i="1" s="1"/>
  <c r="M13" i="1"/>
  <c r="O8" i="1"/>
  <c r="T8" i="1"/>
  <c r="T9" i="1"/>
  <c r="Q9" i="1"/>
  <c r="G13" i="1"/>
  <c r="N13" i="1"/>
  <c r="S8" i="1"/>
  <c r="S13" i="1" l="1"/>
  <c r="T13" i="1"/>
  <c r="O13" i="1"/>
  <c r="Q8" i="1"/>
  <c r="Q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Shumway, Kary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Shumway, Kary:</t>
        </r>
        <r>
          <rPr>
            <sz val="9"/>
            <color indexed="81"/>
            <rFont val="Tahoma"/>
            <family val="2"/>
          </rPr>
          <t xml:space="preserve">
$100k purchase cost
7yr 5.5% interest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Shumway, Kary:</t>
        </r>
        <r>
          <rPr>
            <sz val="9"/>
            <color indexed="81"/>
            <rFont val="Tahoma"/>
            <family val="2"/>
          </rPr>
          <t xml:space="preserve">
$80k purchase
7yr 5.5%</t>
        </r>
      </text>
    </comment>
    <comment ref="I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Shumway, Kary:</t>
        </r>
        <r>
          <rPr>
            <sz val="9"/>
            <color indexed="81"/>
            <rFont val="Tahoma"/>
            <family val="2"/>
          </rPr>
          <t xml:space="preserve">
$95k purchase
7yr 5.5%</t>
        </r>
      </text>
    </comment>
    <comment ref="I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Shumway, Kary:</t>
        </r>
        <r>
          <rPr>
            <sz val="9"/>
            <color indexed="81"/>
            <rFont val="Tahoma"/>
            <family val="2"/>
          </rPr>
          <t xml:space="preserve">
$125k purchase
7yr 5.5% </t>
        </r>
      </text>
    </comment>
  </commentList>
</comments>
</file>

<file path=xl/sharedStrings.xml><?xml version="1.0" encoding="utf-8"?>
<sst xmlns="http://schemas.openxmlformats.org/spreadsheetml/2006/main" count="94" uniqueCount="70">
  <si>
    <t>Lease vs Buy Analysis</t>
  </si>
  <si>
    <t>Lease Cost</t>
  </si>
  <si>
    <t>Buy Cost</t>
  </si>
  <si>
    <t>Lease vs. Buy Variance</t>
  </si>
  <si>
    <t>Annual</t>
  </si>
  <si>
    <t>Extended</t>
  </si>
  <si>
    <t xml:space="preserve">Total </t>
  </si>
  <si>
    <t>Variable</t>
  </si>
  <si>
    <t xml:space="preserve">Estimated </t>
  </si>
  <si>
    <t>Fixed</t>
  </si>
  <si>
    <t>Total Costs</t>
  </si>
  <si>
    <t xml:space="preserve">Net Annual Diff </t>
  </si>
  <si>
    <t>Fixed cost</t>
  </si>
  <si>
    <t>Var cost</t>
  </si>
  <si>
    <t>Trucks</t>
  </si>
  <si>
    <t>Per Mile</t>
  </si>
  <si>
    <t>Miles/Yr</t>
  </si>
  <si>
    <t>Costs</t>
  </si>
  <si>
    <t>Year</t>
  </si>
  <si>
    <t>Lease vs Buy</t>
  </si>
  <si>
    <t>Diff</t>
  </si>
  <si>
    <t>Tractor</t>
  </si>
  <si>
    <t>Single Axle no Liftgate (33k GVW)</t>
  </si>
  <si>
    <t>Single Axle no Liftgate</t>
  </si>
  <si>
    <t>Single Axle w/ Liftgate (33k GVW)</t>
  </si>
  <si>
    <t>Single Axle w/ Liftgate</t>
  </si>
  <si>
    <t>Tandem Axle w/Liftgate</t>
  </si>
  <si>
    <t>Totals</t>
  </si>
  <si>
    <t>Total Miles</t>
  </si>
  <si>
    <t>Other considerations</t>
  </si>
  <si>
    <t>Depreciation expense vs. lease expense, PV of tax implications</t>
  </si>
  <si>
    <t>Sales/use tax</t>
  </si>
  <si>
    <t>End of lease expense</t>
  </si>
  <si>
    <t>Routine maintenance outside of fixed per mile charge</t>
  </si>
  <si>
    <t>Salvage / equity in trucks after 7years, benefit accrues to Lessor</t>
  </si>
  <si>
    <t>Notes</t>
  </si>
  <si>
    <t>Notes / Instructions:</t>
  </si>
  <si>
    <t xml:space="preserve">Enter data in the blue shaded areas - enter the type and number of trucks, Variable cost per </t>
  </si>
  <si>
    <t>mile per the lease contract, and the estimate miles you will drive the truck annually</t>
  </si>
  <si>
    <t>The rest of the fields will calculate based on the formulas</t>
  </si>
  <si>
    <t>The Extended Total Costs column will calculate the total cost of the leased fleet</t>
  </si>
  <si>
    <t>Calculate your historical costs to maintain trucks, and divide by the historical number</t>
  </si>
  <si>
    <t xml:space="preserve">of miles driven.  For example, if you owned a truck, ran it 10,000 miles per year </t>
  </si>
  <si>
    <t>and spent $1200 per year in maintenance, the Variable cost per mile is $0.12</t>
  </si>
  <si>
    <t>Enter these Variable costs in the blue shaded area</t>
  </si>
  <si>
    <t xml:space="preserve">This section takes the difference between </t>
  </si>
  <si>
    <t>the total costs associated with Leasing and</t>
  </si>
  <si>
    <t>total costs of Buying and owning your trucks.</t>
  </si>
  <si>
    <t>A positive number indicates it's less expensive</t>
  </si>
  <si>
    <t>to Buy.  A negative number indicates it's less</t>
  </si>
  <si>
    <t>expensive to Lease.</t>
  </si>
  <si>
    <t>Maintenance Costs</t>
  </si>
  <si>
    <t>Mileage</t>
  </si>
  <si>
    <t>3yr Avg</t>
  </si>
  <si>
    <t>Avg Cost/Mile</t>
  </si>
  <si>
    <t>Maintenance costs are for delivery trucks only, per financials</t>
  </si>
  <si>
    <t>Avg Cost/Mile takes a 3-year average of maintenance expense, divided by mileage</t>
  </si>
  <si>
    <t>Type of Truck</t>
  </si>
  <si>
    <t>Calculate Historical Truck Maintenance Costs</t>
  </si>
  <si>
    <t>See Second Tab</t>
  </si>
  <si>
    <t>Tractors</t>
  </si>
  <si>
    <t>Single Axle trucks no Liftgate (33k GVW)</t>
  </si>
  <si>
    <t>Single Axle trucks w/ Liftgate (33k GVW)</t>
  </si>
  <si>
    <t>Tandem Axle trucks w/Liftgate</t>
  </si>
  <si>
    <t>Enter mileage and maintenance expense info in Blue above</t>
  </si>
  <si>
    <t>Spreadsheet Tool</t>
  </si>
  <si>
    <t>20X1</t>
  </si>
  <si>
    <t>20X2</t>
  </si>
  <si>
    <t>20X3</t>
  </si>
  <si>
    <t>Mileage is based on historical 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</si>
</sst>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i/>
      <u val="sing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164" fontId="6" fillId="0" borderId="0" xfId="2" applyNumberFormat="1" applyFont="1"/>
    <xf numFmtId="165" fontId="6" fillId="0" borderId="0" xfId="1" applyNumberFormat="1" applyFont="1"/>
    <xf numFmtId="166" fontId="6" fillId="0" borderId="0" xfId="2" applyNumberFormat="1" applyFont="1"/>
    <xf numFmtId="166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5" fontId="9" fillId="0" borderId="0" xfId="1" applyNumberFormat="1" applyFont="1"/>
    <xf numFmtId="166" fontId="9" fillId="0" borderId="0" xfId="2" applyNumberFormat="1" applyFont="1"/>
    <xf numFmtId="166" fontId="9" fillId="0" borderId="0" xfId="0" applyNumberFormat="1" applyFont="1"/>
    <xf numFmtId="0" fontId="6" fillId="3" borderId="0" xfId="0" applyFont="1" applyFill="1"/>
    <xf numFmtId="164" fontId="6" fillId="3" borderId="0" xfId="2" applyNumberFormat="1" applyFont="1" applyFill="1"/>
    <xf numFmtId="165" fontId="6" fillId="3" borderId="0" xfId="1" applyNumberFormat="1" applyFont="1" applyFill="1"/>
    <xf numFmtId="0" fontId="9" fillId="3" borderId="0" xfId="0" applyFont="1" applyFill="1"/>
    <xf numFmtId="164" fontId="9" fillId="3" borderId="0" xfId="2" applyNumberFormat="1" applyFont="1" applyFill="1"/>
    <xf numFmtId="165" fontId="9" fillId="3" borderId="0" xfId="1" applyNumberFormat="1" applyFont="1" applyFill="1"/>
    <xf numFmtId="166" fontId="7" fillId="0" borderId="0" xfId="0" applyNumberFormat="1" applyFont="1"/>
    <xf numFmtId="166" fontId="11" fillId="0" borderId="0" xfId="0" applyNumberFormat="1" applyFont="1"/>
    <xf numFmtId="0" fontId="7" fillId="0" borderId="3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11" fillId="0" borderId="0" xfId="0" applyFont="1"/>
    <xf numFmtId="0" fontId="0" fillId="2" borderId="0" xfId="0" applyFill="1"/>
    <xf numFmtId="165" fontId="1" fillId="4" borderId="0" xfId="4" applyNumberFormat="1" applyFont="1" applyFill="1"/>
    <xf numFmtId="166" fontId="1" fillId="4" borderId="0" xfId="5" applyNumberFormat="1" applyFont="1" applyFill="1"/>
    <xf numFmtId="166" fontId="1" fillId="0" borderId="0" xfId="5" applyNumberFormat="1" applyFont="1"/>
    <xf numFmtId="165" fontId="1" fillId="0" borderId="0" xfId="4" applyNumberFormat="1" applyFont="1"/>
    <xf numFmtId="0" fontId="7" fillId="0" borderId="0" xfId="3" applyFont="1"/>
    <xf numFmtId="0" fontId="10" fillId="0" borderId="0" xfId="3" applyFont="1"/>
    <xf numFmtId="0" fontId="8" fillId="0" borderId="0" xfId="3" applyFont="1"/>
    <xf numFmtId="0" fontId="8" fillId="0" borderId="0" xfId="3" applyFont="1" applyAlignment="1">
      <alignment horizontal="center"/>
    </xf>
    <xf numFmtId="44" fontId="12" fillId="0" borderId="0" xfId="5" applyFont="1"/>
    <xf numFmtId="165" fontId="13" fillId="4" borderId="0" xfId="4" applyNumberFormat="1" applyFont="1" applyFill="1"/>
    <xf numFmtId="166" fontId="13" fillId="4" borderId="0" xfId="5" applyNumberFormat="1" applyFont="1" applyFill="1"/>
    <xf numFmtId="166" fontId="13" fillId="0" borderId="0" xfId="5" applyNumberFormat="1" applyFont="1"/>
    <xf numFmtId="44" fontId="14" fillId="0" borderId="0" xfId="5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wrapText="1"/>
    </xf>
    <xf numFmtId="2" fontId="10" fillId="0" borderId="0" xfId="3" applyNumberFormat="1" applyFont="1"/>
    <xf numFmtId="0" fontId="1" fillId="0" borderId="0" xfId="0" applyFont="1"/>
    <xf numFmtId="0" fontId="12" fillId="0" borderId="4" xfId="3" applyFont="1" applyBorder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Truck Maintenance Expense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'Mileage and Maint Cost'!$C$5</c:f>
              <c:strCache>
                <c:ptCount val="1"/>
                <c:pt idx="0">
                  <c:v>20X1</c:v>
                </c:pt>
              </c:strCache>
            </c:strRef>
          </c:tx>
          <c:invertIfNegative val="0"/>
          <c:cat>
            <c:strRef>
              <c:f>'Mileage and Maint Cost'!$A$6:$A$9</c:f>
              <c:strCache>
                <c:ptCount val="4"/>
                <c:pt idx="0">
                  <c:v>Tractors</c:v>
                </c:pt>
                <c:pt idx="1">
                  <c:v>Single Axle trucks no Liftgate (33k GVW)</c:v>
                </c:pt>
                <c:pt idx="2">
                  <c:v>Single Axle trucks w/ Liftgate (33k GVW)</c:v>
                </c:pt>
                <c:pt idx="3">
                  <c:v>Tandem Axle trucks w/Liftgate</c:v>
                </c:pt>
              </c:strCache>
            </c:strRef>
          </c:cat>
          <c:val>
            <c:numRef>
              <c:f>'Mileage and Maint Cost'!$C$6:$C$9</c:f>
              <c:numCache>
                <c:formatCode>_("$"* #,##0_);_("$"* \(#,##0\);_("$"* "-"??_);_(@_)</c:formatCode>
                <c:ptCount val="4"/>
                <c:pt idx="0">
                  <c:v>69957</c:v>
                </c:pt>
                <c:pt idx="1">
                  <c:v>33535</c:v>
                </c:pt>
                <c:pt idx="2">
                  <c:v>71098</c:v>
                </c:pt>
                <c:pt idx="3">
                  <c:v>75680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D-4FCB-ACB6-9B7D9E6D2F75}"/>
            </c:ext>
          </c:extLst>
        </c:ser>
        <c:ser>
          <c:idx val="0"/>
          <c:order val="1"/>
          <c:tx>
            <c:strRef>
              <c:f>'Mileage and Maint Cost'!$D$5</c:f>
              <c:strCache>
                <c:ptCount val="1"/>
                <c:pt idx="0">
                  <c:v>20X2</c:v>
                </c:pt>
              </c:strCache>
            </c:strRef>
          </c:tx>
          <c:invertIfNegative val="0"/>
          <c:cat>
            <c:strRef>
              <c:f>'Mileage and Maint Cost'!$A$6:$A$9</c:f>
              <c:strCache>
                <c:ptCount val="4"/>
                <c:pt idx="0">
                  <c:v>Tractors</c:v>
                </c:pt>
                <c:pt idx="1">
                  <c:v>Single Axle trucks no Liftgate (33k GVW)</c:v>
                </c:pt>
                <c:pt idx="2">
                  <c:v>Single Axle trucks w/ Liftgate (33k GVW)</c:v>
                </c:pt>
                <c:pt idx="3">
                  <c:v>Tandem Axle trucks w/Liftgate</c:v>
                </c:pt>
              </c:strCache>
            </c:strRef>
          </c:cat>
          <c:val>
            <c:numRef>
              <c:f>'Mileage and Maint Cost'!$D$6:$D$9</c:f>
              <c:numCache>
                <c:formatCode>_("$"* #,##0_);_("$"* \(#,##0\);_("$"* "-"??_);_(@_)</c:formatCode>
                <c:ptCount val="4"/>
                <c:pt idx="0">
                  <c:v>76850</c:v>
                </c:pt>
                <c:pt idx="1">
                  <c:v>64957</c:v>
                </c:pt>
                <c:pt idx="2">
                  <c:v>66224</c:v>
                </c:pt>
                <c:pt idx="3">
                  <c:v>54809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D-4FCB-ACB6-9B7D9E6D2F75}"/>
            </c:ext>
          </c:extLst>
        </c:ser>
        <c:ser>
          <c:idx val="1"/>
          <c:order val="2"/>
          <c:tx>
            <c:strRef>
              <c:f>'Mileage and Maint Cost'!$E$5</c:f>
              <c:strCache>
                <c:ptCount val="1"/>
                <c:pt idx="0">
                  <c:v>20X3</c:v>
                </c:pt>
              </c:strCache>
            </c:strRef>
          </c:tx>
          <c:invertIfNegative val="0"/>
          <c:cat>
            <c:strRef>
              <c:f>'Mileage and Maint Cost'!$A$6:$A$9</c:f>
              <c:strCache>
                <c:ptCount val="4"/>
                <c:pt idx="0">
                  <c:v>Tractors</c:v>
                </c:pt>
                <c:pt idx="1">
                  <c:v>Single Axle trucks no Liftgate (33k GVW)</c:v>
                </c:pt>
                <c:pt idx="2">
                  <c:v>Single Axle trucks w/ Liftgate (33k GVW)</c:v>
                </c:pt>
                <c:pt idx="3">
                  <c:v>Tandem Axle trucks w/Liftgate</c:v>
                </c:pt>
              </c:strCache>
            </c:strRef>
          </c:cat>
          <c:val>
            <c:numRef>
              <c:f>'Mileage and Maint Cost'!$E$6:$E$9</c:f>
              <c:numCache>
                <c:formatCode>_("$"* #,##0_);_("$"* \(#,##0\);_("$"* "-"??_);_(@_)</c:formatCode>
                <c:ptCount val="4"/>
                <c:pt idx="0">
                  <c:v>72917</c:v>
                </c:pt>
                <c:pt idx="1">
                  <c:v>61909</c:v>
                </c:pt>
                <c:pt idx="2">
                  <c:v>73982</c:v>
                </c:pt>
                <c:pt idx="3">
                  <c:v>48576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D-4FCB-ACB6-9B7D9E6D2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13568"/>
        <c:axId val="116415104"/>
      </c:barChart>
      <c:catAx>
        <c:axId val="116413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6415104"/>
        <c:crosses val="autoZero"/>
        <c:auto val="1"/>
        <c:lblAlgn val="ctr"/>
        <c:lblOffset val="100"/>
        <c:noMultiLvlLbl val="0"/>
      </c:catAx>
      <c:valAx>
        <c:axId val="116415104"/>
        <c:scaling>
          <c:orientation val="minMax"/>
          <c:max val="90000"/>
          <c:min val="0"/>
        </c:scaling>
        <c:delete val="0"/>
        <c:axPos val="b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16413568"/>
        <c:crosses val="autoZero"/>
        <c:crossBetween val="between"/>
        <c:majorUnit val="25000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hreePt" dir="t"/>
    </a:scene3d>
    <a:sp3d prstMaterial="clear">
      <a:bevelT w="260350" h="50800" prst="softRound"/>
      <a:bevelB prst="softRound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17</xdr:row>
      <xdr:rowOff>90487</xdr:rowOff>
    </xdr:from>
    <xdr:to>
      <xdr:col>4</xdr:col>
      <xdr:colOff>681405</xdr:colOff>
      <xdr:row>34</xdr:row>
      <xdr:rowOff>43962</xdr:rowOff>
    </xdr:to>
    <xdr:graphicFrame macro="">
      <xdr:nvGraphicFramePr>
        <xdr:cNvPr id="2" name="Chart 1" title="Truck Maintenance Expens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zoomScale="110" zoomScaleNormal="110" workbookViewId="0">
      <selection activeCell="A4" sqref="A4"/>
    </sheetView>
  </sheetViews>
  <sheetFormatPr defaultColWidth="9.140625" defaultRowHeight="15" x14ac:dyDescent="0.25"/>
  <cols>
    <col min="1" max="1" width="30.42578125" style="1" customWidth="1"/>
    <col min="2" max="2" width="6.5703125" style="1" bestFit="1" customWidth="1"/>
    <col min="3" max="3" width="8.42578125" style="1" bestFit="1" customWidth="1"/>
    <col min="4" max="4" width="10.28515625" style="1" bestFit="1" customWidth="1"/>
    <col min="5" max="5" width="8.42578125" style="1" bestFit="1" customWidth="1"/>
    <col min="6" max="6" width="9" style="1" bestFit="1" customWidth="1"/>
    <col min="7" max="7" width="10.5703125" style="1" bestFit="1" customWidth="1"/>
    <col min="8" max="8" width="7" style="1" customWidth="1"/>
    <col min="9" max="9" width="22.5703125" style="1" bestFit="1" customWidth="1"/>
    <col min="10" max="10" width="6.5703125" style="1" bestFit="1" customWidth="1"/>
    <col min="11" max="11" width="8" style="1" bestFit="1" customWidth="1"/>
    <col min="12" max="12" width="10" style="1" bestFit="1" customWidth="1"/>
    <col min="13" max="13" width="9" style="1" bestFit="1" customWidth="1"/>
    <col min="14" max="14" width="10" style="1" bestFit="1" customWidth="1"/>
    <col min="15" max="15" width="10.42578125" style="1" bestFit="1" customWidth="1"/>
    <col min="16" max="16" width="7.28515625" style="1" customWidth="1"/>
    <col min="17" max="17" width="14" style="1" bestFit="1" customWidth="1"/>
    <col min="18" max="18" width="3" style="1" customWidth="1"/>
    <col min="19" max="20" width="9.7109375" style="1" bestFit="1" customWidth="1"/>
    <col min="21" max="16384" width="9.140625" style="1"/>
  </cols>
  <sheetData>
    <row r="1" spans="1:20" x14ac:dyDescent="0.25">
      <c r="A1" s="6" t="s">
        <v>0</v>
      </c>
    </row>
    <row r="2" spans="1:20" x14ac:dyDescent="0.25">
      <c r="A2" s="43" t="s">
        <v>65</v>
      </c>
    </row>
    <row r="3" spans="1:20" x14ac:dyDescent="0.25">
      <c r="A3" s="6"/>
    </row>
    <row r="4" spans="1:20" x14ac:dyDescent="0.25">
      <c r="B4" s="23" t="s">
        <v>1</v>
      </c>
      <c r="C4" s="24"/>
      <c r="D4" s="24"/>
      <c r="E4" s="24"/>
      <c r="F4" s="24"/>
      <c r="G4" s="22"/>
      <c r="I4" s="23" t="s">
        <v>2</v>
      </c>
      <c r="J4" s="24"/>
      <c r="K4" s="24"/>
      <c r="L4" s="24"/>
      <c r="M4" s="24"/>
      <c r="N4" s="24"/>
      <c r="O4" s="22"/>
      <c r="Q4" s="23" t="s">
        <v>3</v>
      </c>
      <c r="R4" s="24"/>
      <c r="S4" s="24"/>
      <c r="T4" s="22"/>
    </row>
    <row r="5" spans="1:20" x14ac:dyDescent="0.25">
      <c r="B5" s="7"/>
      <c r="E5" s="8" t="s">
        <v>4</v>
      </c>
      <c r="F5" s="8" t="s">
        <v>4</v>
      </c>
      <c r="G5" s="8" t="s">
        <v>5</v>
      </c>
      <c r="J5" s="7"/>
      <c r="M5" s="8" t="s">
        <v>4</v>
      </c>
      <c r="N5" s="8" t="s">
        <v>4</v>
      </c>
      <c r="O5" s="8" t="s">
        <v>5</v>
      </c>
    </row>
    <row r="6" spans="1:20" x14ac:dyDescent="0.25">
      <c r="B6" s="8" t="s">
        <v>6</v>
      </c>
      <c r="C6" s="8" t="s">
        <v>7</v>
      </c>
      <c r="D6" s="8" t="s">
        <v>8</v>
      </c>
      <c r="E6" s="8" t="s">
        <v>7</v>
      </c>
      <c r="F6" s="8" t="s">
        <v>9</v>
      </c>
      <c r="G6" s="8" t="s">
        <v>10</v>
      </c>
      <c r="J6" s="9" t="s">
        <v>6</v>
      </c>
      <c r="K6" s="8" t="s">
        <v>7</v>
      </c>
      <c r="L6" s="8" t="s">
        <v>8</v>
      </c>
      <c r="M6" s="8" t="s">
        <v>7</v>
      </c>
      <c r="N6" s="8" t="s">
        <v>9</v>
      </c>
      <c r="O6" s="8" t="s">
        <v>10</v>
      </c>
      <c r="P6" s="8"/>
      <c r="Q6" s="8" t="s">
        <v>11</v>
      </c>
      <c r="S6" s="8" t="s">
        <v>12</v>
      </c>
      <c r="T6" s="8" t="s">
        <v>13</v>
      </c>
    </row>
    <row r="7" spans="1:20" x14ac:dyDescent="0.25">
      <c r="B7" s="8" t="s">
        <v>14</v>
      </c>
      <c r="C7" s="8" t="s">
        <v>15</v>
      </c>
      <c r="D7" s="8" t="s">
        <v>16</v>
      </c>
      <c r="E7" s="8" t="s">
        <v>17</v>
      </c>
      <c r="F7" s="8" t="s">
        <v>17</v>
      </c>
      <c r="G7" s="8" t="s">
        <v>18</v>
      </c>
      <c r="J7" s="9" t="s">
        <v>14</v>
      </c>
      <c r="K7" s="8" t="s">
        <v>15</v>
      </c>
      <c r="L7" s="8" t="s">
        <v>16</v>
      </c>
      <c r="M7" s="8" t="s">
        <v>17</v>
      </c>
      <c r="N7" s="8" t="s">
        <v>17</v>
      </c>
      <c r="O7" s="8" t="s">
        <v>18</v>
      </c>
      <c r="P7" s="8"/>
      <c r="Q7" s="8" t="s">
        <v>19</v>
      </c>
      <c r="S7" s="8" t="s">
        <v>20</v>
      </c>
      <c r="T7" s="8" t="s">
        <v>20</v>
      </c>
    </row>
    <row r="8" spans="1:20" x14ac:dyDescent="0.25">
      <c r="A8" s="10" t="s">
        <v>21</v>
      </c>
      <c r="B8" s="14">
        <v>1</v>
      </c>
      <c r="C8" s="15">
        <v>7.8E-2</v>
      </c>
      <c r="D8" s="16">
        <v>12000</v>
      </c>
      <c r="E8" s="4">
        <f>B8*C8*D8</f>
        <v>936</v>
      </c>
      <c r="F8" s="4">
        <f>418*52*B8</f>
        <v>21736</v>
      </c>
      <c r="G8" s="4">
        <f>(E8+F8)</f>
        <v>22672</v>
      </c>
      <c r="I8" s="10" t="s">
        <v>21</v>
      </c>
      <c r="J8" s="1">
        <f>B8</f>
        <v>1</v>
      </c>
      <c r="K8" s="15">
        <v>0.12</v>
      </c>
      <c r="L8" s="3">
        <f>D8</f>
        <v>12000</v>
      </c>
      <c r="M8" s="4">
        <f>K8*L8*J8</f>
        <v>1440</v>
      </c>
      <c r="N8" s="4">
        <f>1437*12*J8</f>
        <v>17244</v>
      </c>
      <c r="O8" s="4">
        <f>(M8+N8)</f>
        <v>18684</v>
      </c>
      <c r="P8" s="4"/>
      <c r="Q8" s="5">
        <f>G8-O8</f>
        <v>3988</v>
      </c>
      <c r="R8" s="5"/>
      <c r="S8" s="5">
        <f>(F8-N8)</f>
        <v>4492</v>
      </c>
      <c r="T8" s="5">
        <f>E8-M8</f>
        <v>-504</v>
      </c>
    </row>
    <row r="9" spans="1:20" x14ac:dyDescent="0.25">
      <c r="A9" s="10" t="s">
        <v>22</v>
      </c>
      <c r="B9" s="14">
        <v>1</v>
      </c>
      <c r="C9" s="15">
        <v>7.4999999999999997E-2</v>
      </c>
      <c r="D9" s="16">
        <v>16000</v>
      </c>
      <c r="E9" s="4">
        <f t="shared" ref="E9:E11" si="0">B9*C9*D9</f>
        <v>1200</v>
      </c>
      <c r="F9" s="4">
        <f>295*52*B9</f>
        <v>15340</v>
      </c>
      <c r="G9" s="4">
        <f t="shared" ref="G9:G11" si="1">(E9+F9)</f>
        <v>16540</v>
      </c>
      <c r="I9" s="10" t="s">
        <v>23</v>
      </c>
      <c r="J9" s="1">
        <f t="shared" ref="J9:J11" si="2">B9</f>
        <v>1</v>
      </c>
      <c r="K9" s="15">
        <v>0.12</v>
      </c>
      <c r="L9" s="3">
        <f>D9</f>
        <v>16000</v>
      </c>
      <c r="M9" s="4">
        <f t="shared" ref="M9:M11" si="3">K9*L9*J9</f>
        <v>1920</v>
      </c>
      <c r="N9" s="4">
        <f>1149*12*J9</f>
        <v>13788</v>
      </c>
      <c r="O9" s="4">
        <f>(M9+N9)</f>
        <v>15708</v>
      </c>
      <c r="P9" s="4"/>
      <c r="Q9" s="5">
        <f t="shared" ref="Q9:Q11" si="4">G9-O9</f>
        <v>832</v>
      </c>
      <c r="R9" s="5"/>
      <c r="S9" s="5">
        <f>(F9-N9)</f>
        <v>1552</v>
      </c>
      <c r="T9" s="5">
        <f>E9-M9</f>
        <v>-720</v>
      </c>
    </row>
    <row r="10" spans="1:20" x14ac:dyDescent="0.25">
      <c r="A10" s="10" t="s">
        <v>24</v>
      </c>
      <c r="B10" s="14">
        <v>1</v>
      </c>
      <c r="C10" s="15">
        <v>7.4999999999999997E-2</v>
      </c>
      <c r="D10" s="16">
        <v>16000</v>
      </c>
      <c r="E10" s="4">
        <f t="shared" si="0"/>
        <v>1200</v>
      </c>
      <c r="F10" s="4">
        <f>343*52*B10</f>
        <v>17836</v>
      </c>
      <c r="G10" s="4">
        <f t="shared" si="1"/>
        <v>19036</v>
      </c>
      <c r="I10" s="10" t="s">
        <v>25</v>
      </c>
      <c r="J10" s="1">
        <f t="shared" si="2"/>
        <v>1</v>
      </c>
      <c r="K10" s="15">
        <v>0.12</v>
      </c>
      <c r="L10" s="3">
        <f>D10</f>
        <v>16000</v>
      </c>
      <c r="M10" s="4">
        <f t="shared" si="3"/>
        <v>1920</v>
      </c>
      <c r="N10" s="4">
        <f>1365*12*J10</f>
        <v>16380</v>
      </c>
      <c r="O10" s="4">
        <f>(M10+N10)</f>
        <v>18300</v>
      </c>
      <c r="P10" s="4"/>
      <c r="Q10" s="5">
        <f t="shared" si="4"/>
        <v>736</v>
      </c>
      <c r="R10" s="5"/>
      <c r="S10" s="5">
        <f>(F10-N10)</f>
        <v>1456</v>
      </c>
      <c r="T10" s="5">
        <f>E10-M10</f>
        <v>-720</v>
      </c>
    </row>
    <row r="11" spans="1:20" x14ac:dyDescent="0.25">
      <c r="A11" s="10" t="s">
        <v>26</v>
      </c>
      <c r="B11" s="17">
        <v>1</v>
      </c>
      <c r="C11" s="18">
        <v>8.5000000000000006E-2</v>
      </c>
      <c r="D11" s="19">
        <v>19000</v>
      </c>
      <c r="E11" s="12">
        <f t="shared" si="0"/>
        <v>1615.0000000000002</v>
      </c>
      <c r="F11" s="12">
        <f>421*52*B11</f>
        <v>21892</v>
      </c>
      <c r="G11" s="12">
        <f t="shared" si="1"/>
        <v>23507</v>
      </c>
      <c r="H11" s="9"/>
      <c r="I11" s="10" t="s">
        <v>26</v>
      </c>
      <c r="J11" s="9">
        <f t="shared" si="2"/>
        <v>1</v>
      </c>
      <c r="K11" s="18">
        <v>0.15</v>
      </c>
      <c r="L11" s="11">
        <f>D11</f>
        <v>19000</v>
      </c>
      <c r="M11" s="12">
        <f t="shared" si="3"/>
        <v>2850</v>
      </c>
      <c r="N11" s="12">
        <f>1796*12*J11</f>
        <v>21552</v>
      </c>
      <c r="O11" s="12">
        <f>(M11+N11)</f>
        <v>24402</v>
      </c>
      <c r="P11" s="12"/>
      <c r="Q11" s="13">
        <f t="shared" si="4"/>
        <v>-895</v>
      </c>
      <c r="R11" s="13"/>
      <c r="S11" s="13">
        <f>(F11-N11)</f>
        <v>340</v>
      </c>
      <c r="T11" s="13">
        <f>E11-M11</f>
        <v>-1234.9999999999998</v>
      </c>
    </row>
    <row r="12" spans="1:20" x14ac:dyDescent="0.25">
      <c r="C12" s="2"/>
      <c r="D12" s="3"/>
      <c r="E12" s="4"/>
      <c r="F12" s="4"/>
      <c r="G12" s="4"/>
      <c r="K12" s="2"/>
      <c r="L12" s="3"/>
      <c r="M12" s="4"/>
      <c r="N12" s="4"/>
      <c r="O12" s="4"/>
      <c r="P12" s="4"/>
      <c r="Q12" s="5"/>
      <c r="R12" s="5"/>
      <c r="S12" s="5"/>
      <c r="T12" s="5"/>
    </row>
    <row r="13" spans="1:20" x14ac:dyDescent="0.25">
      <c r="A13" s="10" t="s">
        <v>27</v>
      </c>
      <c r="B13" s="1">
        <f>SUM(B8:B11)</f>
        <v>4</v>
      </c>
      <c r="D13" s="3">
        <f>B8*D8+B9*D9+B10*D10+B11*D11</f>
        <v>63000</v>
      </c>
      <c r="E13" s="5">
        <f>SUM(E8:E11)</f>
        <v>4951</v>
      </c>
      <c r="F13" s="5">
        <f>SUM(F8:F11)</f>
        <v>76804</v>
      </c>
      <c r="G13" s="20">
        <f>SUM(G8:G11)</f>
        <v>81755</v>
      </c>
      <c r="I13" s="1" t="s">
        <v>28</v>
      </c>
      <c r="J13" s="1">
        <f>SUM(J8:J11)</f>
        <v>4</v>
      </c>
      <c r="L13" s="3">
        <f>J8*L8+J9*L9+J10*L10+J11*L11</f>
        <v>63000</v>
      </c>
      <c r="M13" s="5">
        <f>SUM(M8:M11)</f>
        <v>8130</v>
      </c>
      <c r="N13" s="5">
        <f>SUM(N8:N11)</f>
        <v>68964</v>
      </c>
      <c r="O13" s="20">
        <f>SUM(O8:O11)</f>
        <v>77094</v>
      </c>
      <c r="Q13" s="21">
        <f>SUM(Q8:Q11)</f>
        <v>4661</v>
      </c>
      <c r="R13" s="5"/>
      <c r="S13" s="5">
        <f>SUM(S8:S11)</f>
        <v>7840</v>
      </c>
      <c r="T13" s="5">
        <f>SUM(T8:T11)</f>
        <v>-3179</v>
      </c>
    </row>
    <row r="14" spans="1:20" x14ac:dyDescent="0.25">
      <c r="Q14" s="5"/>
    </row>
    <row r="15" spans="1:20" s="25" customFormat="1" x14ac:dyDescent="0.25">
      <c r="A15" s="6" t="s">
        <v>36</v>
      </c>
      <c r="I15" s="6" t="s">
        <v>36</v>
      </c>
      <c r="Q15" s="6" t="s">
        <v>36</v>
      </c>
    </row>
    <row r="16" spans="1:20" x14ac:dyDescent="0.25">
      <c r="A16" s="1" t="s">
        <v>37</v>
      </c>
      <c r="G16" s="5"/>
      <c r="I16" s="1" t="s">
        <v>41</v>
      </c>
      <c r="J16"/>
      <c r="O16" s="5"/>
      <c r="P16" s="5"/>
      <c r="Q16" s="1" t="s">
        <v>45</v>
      </c>
    </row>
    <row r="17" spans="1:17" x14ac:dyDescent="0.25">
      <c r="A17" s="1" t="s">
        <v>38</v>
      </c>
      <c r="I17" s="1" t="s">
        <v>42</v>
      </c>
      <c r="J17"/>
      <c r="Q17" s="1" t="s">
        <v>46</v>
      </c>
    </row>
    <row r="18" spans="1:17" x14ac:dyDescent="0.25">
      <c r="A18" s="1" t="s">
        <v>39</v>
      </c>
      <c r="I18" s="1" t="s">
        <v>43</v>
      </c>
      <c r="J18"/>
      <c r="Q18" s="1" t="s">
        <v>47</v>
      </c>
    </row>
    <row r="19" spans="1:17" x14ac:dyDescent="0.25">
      <c r="A19" s="1" t="s">
        <v>40</v>
      </c>
      <c r="I19" s="1" t="s">
        <v>44</v>
      </c>
      <c r="J19"/>
      <c r="Q19" s="1" t="s">
        <v>48</v>
      </c>
    </row>
    <row r="20" spans="1:17" x14ac:dyDescent="0.25">
      <c r="J20"/>
      <c r="Q20" s="1" t="s">
        <v>49</v>
      </c>
    </row>
    <row r="21" spans="1:17" x14ac:dyDescent="0.25">
      <c r="I21" s="26" t="s">
        <v>59</v>
      </c>
      <c r="J21"/>
      <c r="Q21" s="1" t="s">
        <v>50</v>
      </c>
    </row>
    <row r="22" spans="1:17" x14ac:dyDescent="0.25">
      <c r="I22"/>
      <c r="J22"/>
    </row>
    <row r="23" spans="1:17" x14ac:dyDescent="0.25">
      <c r="A23" s="7" t="s">
        <v>29</v>
      </c>
    </row>
    <row r="24" spans="1:17" x14ac:dyDescent="0.25">
      <c r="A24" s="1" t="s">
        <v>30</v>
      </c>
    </row>
    <row r="25" spans="1:17" x14ac:dyDescent="0.25">
      <c r="A25" s="1" t="s">
        <v>31</v>
      </c>
    </row>
    <row r="26" spans="1:17" x14ac:dyDescent="0.25">
      <c r="A26" s="1" t="s">
        <v>32</v>
      </c>
    </row>
    <row r="27" spans="1:17" x14ac:dyDescent="0.25">
      <c r="A27" s="1" t="s">
        <v>33</v>
      </c>
    </row>
    <row r="28" spans="1:17" x14ac:dyDescent="0.25">
      <c r="A28" s="10" t="s">
        <v>34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abSelected="1" zoomScale="110" zoomScaleNormal="110" workbookViewId="0">
      <selection activeCell="G19" sqref="G19"/>
    </sheetView>
  </sheetViews>
  <sheetFormatPr defaultColWidth="9.140625" defaultRowHeight="15" x14ac:dyDescent="0.25"/>
  <cols>
    <col min="1" max="1" width="38.7109375" style="32" customWidth="1"/>
    <col min="2" max="2" width="12.85546875" style="32" bestFit="1" customWidth="1"/>
    <col min="3" max="6" width="12.28515625" style="32" bestFit="1" customWidth="1"/>
    <col min="7" max="7" width="12.42578125" style="32" bestFit="1" customWidth="1"/>
    <col min="8" max="16384" width="9.140625" style="32"/>
  </cols>
  <sheetData>
    <row r="1" spans="1:7" x14ac:dyDescent="0.25">
      <c r="A1" s="31" t="s">
        <v>0</v>
      </c>
    </row>
    <row r="2" spans="1:7" x14ac:dyDescent="0.25">
      <c r="A2" s="32" t="s">
        <v>58</v>
      </c>
    </row>
    <row r="4" spans="1:7" x14ac:dyDescent="0.25">
      <c r="C4" s="44" t="s">
        <v>51</v>
      </c>
      <c r="D4" s="44"/>
      <c r="E4" s="44"/>
      <c r="F4" s="44"/>
      <c r="G4" s="44"/>
    </row>
    <row r="5" spans="1:7" x14ac:dyDescent="0.25">
      <c r="A5" s="33" t="s">
        <v>57</v>
      </c>
      <c r="B5" s="34" t="s">
        <v>52</v>
      </c>
      <c r="C5" s="34" t="s">
        <v>66</v>
      </c>
      <c r="D5" s="34" t="s">
        <v>67</v>
      </c>
      <c r="E5" s="34" t="s">
        <v>68</v>
      </c>
      <c r="F5" s="34" t="s">
        <v>53</v>
      </c>
      <c r="G5" s="34" t="s">
        <v>54</v>
      </c>
    </row>
    <row r="6" spans="1:7" x14ac:dyDescent="0.25">
      <c r="A6" s="10" t="s">
        <v>60</v>
      </c>
      <c r="B6" s="27">
        <v>220000</v>
      </c>
      <c r="C6" s="28">
        <v>69957</v>
      </c>
      <c r="D6" s="28">
        <v>76850</v>
      </c>
      <c r="E6" s="28">
        <v>72917</v>
      </c>
      <c r="F6" s="29">
        <f>AVERAGE(C6:E6)</f>
        <v>73241.333333333328</v>
      </c>
      <c r="G6" s="35">
        <f>F6/B6</f>
        <v>0.3329151515151515</v>
      </c>
    </row>
    <row r="7" spans="1:7" x14ac:dyDescent="0.25">
      <c r="A7" s="10" t="s">
        <v>61</v>
      </c>
      <c r="B7" s="27">
        <v>112606</v>
      </c>
      <c r="C7" s="28">
        <v>33535</v>
      </c>
      <c r="D7" s="28">
        <v>64957</v>
      </c>
      <c r="E7" s="28">
        <v>61909</v>
      </c>
      <c r="F7" s="29">
        <f t="shared" ref="F7:F9" si="0">AVERAGE(C7:E7)</f>
        <v>53467</v>
      </c>
      <c r="G7" s="35">
        <f>F7/B7</f>
        <v>0.47481484112747102</v>
      </c>
    </row>
    <row r="8" spans="1:7" x14ac:dyDescent="0.25">
      <c r="A8" s="10" t="s">
        <v>62</v>
      </c>
      <c r="B8" s="27">
        <v>275796</v>
      </c>
      <c r="C8" s="28">
        <v>71098</v>
      </c>
      <c r="D8" s="28">
        <v>66224</v>
      </c>
      <c r="E8" s="28">
        <v>73982</v>
      </c>
      <c r="F8" s="29">
        <f t="shared" si="0"/>
        <v>70434.666666666672</v>
      </c>
      <c r="G8" s="35">
        <f>F8/B8</f>
        <v>0.25538683181288585</v>
      </c>
    </row>
    <row r="9" spans="1:7" ht="17.25" x14ac:dyDescent="0.4">
      <c r="A9" s="10" t="s">
        <v>63</v>
      </c>
      <c r="B9" s="36">
        <v>425075</v>
      </c>
      <c r="C9" s="37">
        <v>75680</v>
      </c>
      <c r="D9" s="37">
        <v>54809</v>
      </c>
      <c r="E9" s="37">
        <v>48576</v>
      </c>
      <c r="F9" s="38">
        <f t="shared" si="0"/>
        <v>59688.333333333336</v>
      </c>
      <c r="G9" s="39">
        <f>F9/B9</f>
        <v>0.14041835754474702</v>
      </c>
    </row>
    <row r="10" spans="1:7" x14ac:dyDescent="0.25">
      <c r="B10" s="30">
        <f>SUM(B6:B9)</f>
        <v>1033477</v>
      </c>
      <c r="C10" s="29">
        <f t="shared" ref="C10:F10" si="1">SUM(C6:C9)</f>
        <v>250270</v>
      </c>
      <c r="D10" s="29">
        <f t="shared" si="1"/>
        <v>262840</v>
      </c>
      <c r="E10" s="29">
        <f t="shared" si="1"/>
        <v>257384</v>
      </c>
      <c r="F10" s="29">
        <f t="shared" si="1"/>
        <v>256831.33333333334</v>
      </c>
      <c r="G10" s="35">
        <f>F10/B10</f>
        <v>0.24851190044222884</v>
      </c>
    </row>
    <row r="12" spans="1:7" x14ac:dyDescent="0.25">
      <c r="A12" s="33" t="s">
        <v>35</v>
      </c>
    </row>
    <row r="13" spans="1:7" x14ac:dyDescent="0.25">
      <c r="A13" s="32" t="s">
        <v>64</v>
      </c>
    </row>
    <row r="14" spans="1:7" x14ac:dyDescent="0.25">
      <c r="A14" s="32" t="s">
        <v>69</v>
      </c>
    </row>
    <row r="15" spans="1:7" x14ac:dyDescent="0.25">
      <c r="A15" s="32" t="s">
        <v>55</v>
      </c>
    </row>
    <row r="16" spans="1:7" x14ac:dyDescent="0.25">
      <c r="A16" s="32" t="s">
        <v>56</v>
      </c>
    </row>
    <row r="19" spans="9:12" x14ac:dyDescent="0.25">
      <c r="I19" s="40"/>
      <c r="J19" s="40"/>
      <c r="K19" s="40"/>
      <c r="L19" s="41"/>
    </row>
    <row r="20" spans="9:12" x14ac:dyDescent="0.25">
      <c r="J20" s="30"/>
      <c r="K20" s="30"/>
      <c r="L20" s="30"/>
    </row>
    <row r="23" spans="9:12" x14ac:dyDescent="0.25">
      <c r="J23" s="30"/>
      <c r="K23" s="30"/>
      <c r="L23" s="30"/>
    </row>
    <row r="24" spans="9:12" x14ac:dyDescent="0.25">
      <c r="J24" s="42"/>
      <c r="K24" s="42"/>
      <c r="L24" s="42"/>
    </row>
  </sheetData>
  <mergeCells count="1">
    <mergeCell ref="C4:G4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Lease vs Buy Cost Analysis</vt:lpstr>
      <vt:lpstr>Mileage and Maint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Shumway, Kary</dc:creator>
  <cp:lastModifiedBy>Kary Shumway</cp:lastModifiedBy>
  <dcterms:created xsi:type="dcterms:W3CDTF">2017-02-20T22:06:00Z</dcterms:created>
  <dcterms:modified xsi:type="dcterms:W3CDTF">2022-04-01T18:40:35Z</dcterms:modified>
</cp:coreProperties>
</file>